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ineke\OneDrive\Documenten\VVE en bestuur\Bestuur VVE\2024\24.06.21 ALV\"/>
    </mc:Choice>
  </mc:AlternateContent>
  <xr:revisionPtr revIDLastSave="0" documentId="13_ncr:1_{95F784FD-143A-4B4F-9C48-F1F3DF36A8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K8" i="1" l="1"/>
  <c r="K9" i="1"/>
  <c r="K10" i="1"/>
  <c r="K11" i="1"/>
  <c r="K12" i="1"/>
  <c r="K13" i="1"/>
  <c r="K7" i="1"/>
  <c r="L7" i="1" s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14" i="1"/>
  <c r="G13" i="1"/>
  <c r="G12" i="1"/>
  <c r="G11" i="1"/>
  <c r="J11" i="1" s="1"/>
  <c r="G10" i="1"/>
  <c r="H10" i="1" s="1"/>
  <c r="G9" i="1"/>
  <c r="G8" i="1"/>
  <c r="H8" i="1" s="1"/>
  <c r="G7" i="1"/>
  <c r="I10" i="1" l="1"/>
  <c r="J10" i="1"/>
  <c r="S22" i="1"/>
  <c r="G22" i="1"/>
  <c r="T10" i="1"/>
  <c r="Q22" i="1"/>
  <c r="O22" i="1"/>
  <c r="R22" i="1"/>
  <c r="S10" i="1"/>
  <c r="R10" i="1"/>
  <c r="P22" i="1"/>
  <c r="P10" i="1"/>
  <c r="N22" i="1"/>
  <c r="Q10" i="1"/>
  <c r="O10" i="1"/>
  <c r="T22" i="1"/>
  <c r="M22" i="1"/>
  <c r="L22" i="1"/>
  <c r="K22" i="1"/>
  <c r="M10" i="1"/>
  <c r="L10" i="1"/>
  <c r="H22" i="1"/>
  <c r="U22" i="1"/>
  <c r="U10" i="1"/>
  <c r="N10" i="1"/>
  <c r="J22" i="1"/>
  <c r="I22" i="1"/>
  <c r="G14" i="1"/>
  <c r="J7" i="1"/>
  <c r="I7" i="1"/>
  <c r="H7" i="1"/>
  <c r="I12" i="1"/>
  <c r="J12" i="1"/>
  <c r="H12" i="1"/>
  <c r="I11" i="1"/>
  <c r="J8" i="1"/>
  <c r="I8" i="1"/>
  <c r="H11" i="1"/>
  <c r="H13" i="1"/>
  <c r="I13" i="1"/>
  <c r="J9" i="1"/>
  <c r="J13" i="1"/>
  <c r="H9" i="1"/>
  <c r="I9" i="1"/>
  <c r="M20" i="1" l="1"/>
  <c r="N8" i="1"/>
  <c r="T20" i="1"/>
  <c r="U8" i="1"/>
  <c r="L20" i="1"/>
  <c r="M8" i="1"/>
  <c r="K20" i="1"/>
  <c r="L8" i="1"/>
  <c r="J20" i="1"/>
  <c r="U20" i="1"/>
  <c r="I20" i="1"/>
  <c r="H20" i="1"/>
  <c r="O8" i="1"/>
  <c r="O20" i="1"/>
  <c r="S8" i="1"/>
  <c r="G20" i="1"/>
  <c r="R8" i="1"/>
  <c r="S20" i="1"/>
  <c r="R20" i="1"/>
  <c r="Q20" i="1"/>
  <c r="P20" i="1"/>
  <c r="T8" i="1"/>
  <c r="N20" i="1"/>
  <c r="Q8" i="1"/>
  <c r="P8" i="1"/>
  <c r="M24" i="1"/>
  <c r="N12" i="1"/>
  <c r="K24" i="1"/>
  <c r="J24" i="1"/>
  <c r="U24" i="1"/>
  <c r="T24" i="1"/>
  <c r="L24" i="1"/>
  <c r="M12" i="1"/>
  <c r="L12" i="1"/>
  <c r="I24" i="1"/>
  <c r="H24" i="1"/>
  <c r="U12" i="1"/>
  <c r="P24" i="1"/>
  <c r="S12" i="1"/>
  <c r="O24" i="1"/>
  <c r="R12" i="1"/>
  <c r="G24" i="1"/>
  <c r="O12" i="1"/>
  <c r="R24" i="1"/>
  <c r="N24" i="1"/>
  <c r="Q12" i="1"/>
  <c r="P12" i="1"/>
  <c r="S24" i="1"/>
  <c r="T12" i="1"/>
  <c r="Q24" i="1"/>
  <c r="J21" i="1"/>
  <c r="H21" i="1"/>
  <c r="U9" i="1"/>
  <c r="S21" i="1"/>
  <c r="U21" i="1"/>
  <c r="I21" i="1"/>
  <c r="T21" i="1"/>
  <c r="T9" i="1"/>
  <c r="Q21" i="1"/>
  <c r="R9" i="1"/>
  <c r="G21" i="1"/>
  <c r="R21" i="1"/>
  <c r="S9" i="1"/>
  <c r="M21" i="1"/>
  <c r="Q9" i="1"/>
  <c r="L21" i="1"/>
  <c r="P9" i="1"/>
  <c r="K21" i="1"/>
  <c r="M9" i="1"/>
  <c r="O21" i="1"/>
  <c r="O9" i="1"/>
  <c r="N9" i="1"/>
  <c r="L9" i="1"/>
  <c r="P21" i="1"/>
  <c r="N21" i="1"/>
  <c r="H14" i="1"/>
  <c r="J14" i="1"/>
  <c r="C68" i="1"/>
  <c r="C56" i="1"/>
  <c r="C44" i="1"/>
  <c r="E41" i="1"/>
  <c r="G41" i="1" s="1"/>
  <c r="C53" i="1"/>
  <c r="C60" i="1"/>
  <c r="C48" i="1"/>
  <c r="C55" i="1"/>
  <c r="C50" i="1"/>
  <c r="C63" i="1"/>
  <c r="C51" i="1"/>
  <c r="C58" i="1"/>
  <c r="C46" i="1"/>
  <c r="E43" i="1"/>
  <c r="G43" i="1" s="1"/>
  <c r="C67" i="1"/>
  <c r="C43" i="1"/>
  <c r="C62" i="1"/>
  <c r="C65" i="1"/>
  <c r="C41" i="1"/>
  <c r="C69" i="1"/>
  <c r="C52" i="1"/>
  <c r="C47" i="1"/>
  <c r="E42" i="1"/>
  <c r="G42" i="1" s="1"/>
  <c r="C45" i="1"/>
  <c r="E40" i="1"/>
  <c r="C59" i="1"/>
  <c r="C57" i="1"/>
  <c r="C42" i="1"/>
  <c r="C40" i="1"/>
  <c r="C61" i="1"/>
  <c r="C66" i="1"/>
  <c r="C49" i="1"/>
  <c r="C54" i="1"/>
  <c r="C64" i="1"/>
  <c r="J25" i="1"/>
  <c r="T25" i="1"/>
  <c r="U13" i="1"/>
  <c r="U25" i="1"/>
  <c r="I25" i="1"/>
  <c r="H25" i="1"/>
  <c r="G25" i="1"/>
  <c r="T13" i="1"/>
  <c r="Q25" i="1"/>
  <c r="R13" i="1"/>
  <c r="S25" i="1"/>
  <c r="R25" i="1"/>
  <c r="S13" i="1"/>
  <c r="O25" i="1"/>
  <c r="N13" i="1"/>
  <c r="K25" i="1"/>
  <c r="L13" i="1"/>
  <c r="P25" i="1"/>
  <c r="Q13" i="1"/>
  <c r="N25" i="1"/>
  <c r="P13" i="1"/>
  <c r="M25" i="1"/>
  <c r="O13" i="1"/>
  <c r="L25" i="1"/>
  <c r="M13" i="1"/>
  <c r="I14" i="1"/>
  <c r="C70" i="1" l="1"/>
  <c r="G40" i="1"/>
  <c r="P19" i="1"/>
  <c r="Q7" i="1"/>
  <c r="N19" i="1"/>
  <c r="L19" i="1"/>
  <c r="O19" i="1"/>
  <c r="P7" i="1"/>
  <c r="O7" i="1"/>
  <c r="K19" i="1"/>
  <c r="M19" i="1"/>
  <c r="N7" i="1"/>
  <c r="S19" i="1"/>
  <c r="J19" i="1"/>
  <c r="U7" i="1"/>
  <c r="I19" i="1"/>
  <c r="H19" i="1"/>
  <c r="S7" i="1"/>
  <c r="U19" i="1"/>
  <c r="R19" i="1"/>
  <c r="Q19" i="1"/>
  <c r="Q26" i="1" s="1"/>
  <c r="T7" i="1"/>
  <c r="G19" i="1"/>
  <c r="R7" i="1"/>
  <c r="T19" i="1"/>
  <c r="K14" i="1"/>
  <c r="P23" i="1"/>
  <c r="Q11" i="1"/>
  <c r="O11" i="1"/>
  <c r="K23" i="1"/>
  <c r="O23" i="1"/>
  <c r="P11" i="1"/>
  <c r="N23" i="1"/>
  <c r="N11" i="1"/>
  <c r="L11" i="1"/>
  <c r="M23" i="1"/>
  <c r="L23" i="1"/>
  <c r="M11" i="1"/>
  <c r="G23" i="1"/>
  <c r="T11" i="1"/>
  <c r="J23" i="1"/>
  <c r="S11" i="1"/>
  <c r="I23" i="1"/>
  <c r="R11" i="1"/>
  <c r="U23" i="1"/>
  <c r="T23" i="1"/>
  <c r="S23" i="1"/>
  <c r="R23" i="1"/>
  <c r="U11" i="1"/>
  <c r="Q23" i="1"/>
  <c r="H23" i="1"/>
  <c r="S26" i="1" l="1"/>
  <c r="T14" i="1"/>
  <c r="M14" i="1"/>
  <c r="K26" i="1"/>
  <c r="H26" i="1"/>
  <c r="O14" i="1"/>
  <c r="R26" i="1"/>
  <c r="L14" i="1"/>
  <c r="L26" i="1"/>
  <c r="U14" i="1"/>
  <c r="P14" i="1"/>
  <c r="O26" i="1"/>
  <c r="S14" i="1"/>
  <c r="I26" i="1"/>
  <c r="N26" i="1"/>
  <c r="J26" i="1"/>
  <c r="U26" i="1"/>
  <c r="E63" i="1"/>
  <c r="G63" i="1" s="1"/>
  <c r="E51" i="1"/>
  <c r="G51" i="1" s="1"/>
  <c r="E55" i="1"/>
  <c r="G55" i="1" s="1"/>
  <c r="E57" i="1"/>
  <c r="G57" i="1" s="1"/>
  <c r="E58" i="1"/>
  <c r="G58" i="1" s="1"/>
  <c r="E46" i="1"/>
  <c r="G46" i="1" s="1"/>
  <c r="E65" i="1"/>
  <c r="G65" i="1" s="1"/>
  <c r="E53" i="1"/>
  <c r="G53" i="1" s="1"/>
  <c r="E60" i="1"/>
  <c r="G60" i="1" s="1"/>
  <c r="E50" i="1"/>
  <c r="G50" i="1" s="1"/>
  <c r="E69" i="1"/>
  <c r="G69" i="1" s="1"/>
  <c r="E48" i="1"/>
  <c r="G48" i="1" s="1"/>
  <c r="E67" i="1"/>
  <c r="G67" i="1" s="1"/>
  <c r="E62" i="1"/>
  <c r="G62" i="1" s="1"/>
  <c r="E56" i="1"/>
  <c r="G56" i="1" s="1"/>
  <c r="E44" i="1"/>
  <c r="E59" i="1"/>
  <c r="G59" i="1" s="1"/>
  <c r="E64" i="1"/>
  <c r="G64" i="1" s="1"/>
  <c r="E45" i="1"/>
  <c r="G45" i="1" s="1"/>
  <c r="E68" i="1"/>
  <c r="G68" i="1" s="1"/>
  <c r="E61" i="1"/>
  <c r="G61" i="1" s="1"/>
  <c r="E66" i="1"/>
  <c r="G66" i="1" s="1"/>
  <c r="E49" i="1"/>
  <c r="G49" i="1" s="1"/>
  <c r="E54" i="1"/>
  <c r="G54" i="1" s="1"/>
  <c r="E52" i="1"/>
  <c r="G52" i="1" s="1"/>
  <c r="E47" i="1"/>
  <c r="G47" i="1" s="1"/>
  <c r="Q14" i="1"/>
  <c r="T26" i="1"/>
  <c r="P26" i="1"/>
  <c r="R14" i="1"/>
  <c r="N14" i="1"/>
  <c r="G26" i="1"/>
  <c r="M26" i="1"/>
  <c r="G44" i="1" l="1"/>
  <c r="G70" i="1" s="1"/>
  <c r="E70" i="1"/>
  <c r="H65" i="1" l="1"/>
  <c r="H53" i="1"/>
  <c r="H41" i="1"/>
  <c r="H55" i="1"/>
  <c r="H43" i="1"/>
  <c r="H62" i="1"/>
  <c r="H69" i="1"/>
  <c r="H64" i="1"/>
  <c r="H40" i="1"/>
  <c r="H60" i="1"/>
  <c r="H48" i="1"/>
  <c r="H67" i="1"/>
  <c r="H50" i="1"/>
  <c r="H59" i="1"/>
  <c r="H57" i="1"/>
  <c r="H45" i="1"/>
  <c r="H52" i="1"/>
  <c r="H58" i="1"/>
  <c r="H68" i="1"/>
  <c r="H61" i="1"/>
  <c r="H66" i="1"/>
  <c r="H54" i="1"/>
  <c r="H47" i="1"/>
  <c r="H42" i="1"/>
  <c r="H63" i="1"/>
  <c r="H51" i="1"/>
  <c r="H46" i="1"/>
  <c r="H56" i="1"/>
  <c r="H49" i="1"/>
  <c r="H44" i="1"/>
  <c r="H70" i="1" l="1"/>
</calcChain>
</file>

<file path=xl/sharedStrings.xml><?xml version="1.0" encoding="utf-8"?>
<sst xmlns="http://schemas.openxmlformats.org/spreadsheetml/2006/main" count="44" uniqueCount="37">
  <si>
    <t>MJOP VVE Bonifacius te Alphen aan den Rijn</t>
  </si>
  <si>
    <t>Meerjarig onderhoudsplan</t>
  </si>
  <si>
    <t>verwachte uitgaven</t>
  </si>
  <si>
    <t>prognose</t>
  </si>
  <si>
    <t>Aandeelhouders</t>
  </si>
  <si>
    <t>Incl. 2% inflatie</t>
  </si>
  <si>
    <t>Peilprijs bijgesteld</t>
  </si>
  <si>
    <t>Incl. 4% inflatie</t>
  </si>
  <si>
    <t>prijspeil 2019</t>
  </si>
  <si>
    <t>jaren</t>
  </si>
  <si>
    <t>Prijspeil 2023</t>
  </si>
  <si>
    <t>groep</t>
  </si>
  <si>
    <t>Schilderwerk</t>
  </si>
  <si>
    <t>1, 2</t>
  </si>
  <si>
    <t>Lift onderhoud</t>
  </si>
  <si>
    <r>
      <t>Gebouwinstallaties</t>
    </r>
    <r>
      <rPr>
        <b/>
        <vertAlign val="superscript"/>
        <sz val="9"/>
        <color theme="1"/>
        <rFont val="Calibri"/>
        <family val="2"/>
        <scheme val="minor"/>
      </rPr>
      <t>b</t>
    </r>
  </si>
  <si>
    <t>1, 2, 3</t>
  </si>
  <si>
    <r>
      <t>Bouwkundig</t>
    </r>
    <r>
      <rPr>
        <b/>
        <vertAlign val="superscript"/>
        <sz val="9"/>
        <color theme="1"/>
        <rFont val="Calibri"/>
        <family val="2"/>
        <scheme val="minor"/>
      </rPr>
      <t>c</t>
    </r>
  </si>
  <si>
    <t xml:space="preserve">Parkeer terrein </t>
  </si>
  <si>
    <t>Speedgate</t>
  </si>
  <si>
    <t>Let op: dit is een concept welke per lopend boekjaar kan worden herzien.</t>
  </si>
  <si>
    <t>Aandeelhouders:</t>
  </si>
  <si>
    <t>(1) zonder lift</t>
  </si>
  <si>
    <t>(2) met lift</t>
  </si>
  <si>
    <t>(3) parkeerplaatsen</t>
  </si>
  <si>
    <t>Berekening jaarlijkse voorziening inclusief inflatiecorrectie van 4% per jaar</t>
  </si>
  <si>
    <t>Reservering per jaar</t>
  </si>
  <si>
    <t>(oud)</t>
  </si>
  <si>
    <t>(nieuw 2023)</t>
  </si>
  <si>
    <t>Optie 1</t>
  </si>
  <si>
    <t>Optie 2</t>
  </si>
  <si>
    <t>Jaar</t>
  </si>
  <si>
    <t>gecorrigeerd voor inflatie</t>
  </si>
  <si>
    <t>Aantal jaar</t>
  </si>
  <si>
    <t>Reservering optie 1: jaarlijks oplopend bedrag</t>
  </si>
  <si>
    <t>Reservering optie 2: jaarlijks gelijkblijvend bedrag</t>
  </si>
  <si>
    <t>Onvoorziene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</si>
</sst>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€&quot;\ #,##0.00"/>
    <numFmt numFmtId="165" formatCode="_ [$€-413]\ * #,##0.00_ ;_ [$€-413]\ * \-#,##0.00_ ;_ [$€-413]\ * &quot;-&quot;??_ ;_ @_ "/>
    <numFmt numFmtId="166" formatCode="0.0%"/>
    <numFmt numFmtId="167" formatCode="[$€-2]\ #,##0.00"/>
    <numFmt numFmtId="16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9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5" xfId="2" applyFont="1" applyBorder="1" applyAlignment="1">
      <alignment horizontal="center"/>
    </xf>
    <xf numFmtId="164" fontId="4" fillId="0" borderId="0" xfId="0" applyNumberFormat="1" applyFont="1"/>
    <xf numFmtId="0" fontId="3" fillId="0" borderId="0" xfId="2" applyFont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64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3" fillId="0" borderId="9" xfId="0" applyNumberFormat="1" applyFont="1" applyBorder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0" borderId="0" xfId="0" applyFont="1" applyAlignment="1">
      <alignment horizontal="right"/>
    </xf>
    <xf numFmtId="0" fontId="3" fillId="0" borderId="9" xfId="0" applyFont="1" applyBorder="1"/>
    <xf numFmtId="0" fontId="4" fillId="0" borderId="0" xfId="0" applyFont="1" applyAlignment="1">
      <alignment horizontal="center"/>
    </xf>
    <xf numFmtId="166" fontId="8" fillId="0" borderId="0" xfId="1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/>
    </xf>
    <xf numFmtId="167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7" fontId="4" fillId="0" borderId="12" xfId="0" applyNumberFormat="1" applyFont="1" applyBorder="1" applyAlignment="1">
      <alignment horizontal="center"/>
    </xf>
    <xf numFmtId="167" fontId="4" fillId="0" borderId="0" xfId="0" applyNumberFormat="1" applyFont="1" applyAlignment="1">
      <alignment horizontal="center" vertical="center"/>
    </xf>
    <xf numFmtId="167" fontId="4" fillId="0" borderId="8" xfId="0" applyNumberFormat="1" applyFont="1" applyBorder="1" applyAlignment="1">
      <alignment horizontal="center"/>
    </xf>
    <xf numFmtId="168" fontId="4" fillId="0" borderId="0" xfId="0" applyNumberFormat="1" applyFont="1" applyAlignment="1">
      <alignment horizontal="center"/>
    </xf>
    <xf numFmtId="164" fontId="3" fillId="3" borderId="9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Procent" xfId="1" builtinId="5"/>
    <cellStyle name="Standaard" xfId="0" builtinId="0"/>
    <cellStyle name="Standa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74"/>
  <sheetViews>
    <sheetView tabSelected="1" workbookViewId="0">
      <selection activeCell="F32" sqref="F32"/>
    </sheetView>
  </sheetViews>
  <sheetFormatPr defaultColWidth="18.7109375" defaultRowHeight="12" x14ac:dyDescent="0.2"/>
  <cols>
    <col min="1" max="1" width="17" style="4" customWidth="1"/>
    <col min="2" max="2" width="14.42578125" style="4" bestFit="1" customWidth="1"/>
    <col min="3" max="3" width="18.7109375" style="34" bestFit="1" customWidth="1"/>
    <col min="4" max="4" width="10.28515625" style="4" bestFit="1" customWidth="1"/>
    <col min="5" max="5" width="18.7109375" style="34" bestFit="1" customWidth="1"/>
    <col min="6" max="6" width="12.28515625" style="34" bestFit="1" customWidth="1"/>
    <col min="7" max="8" width="11.28515625" style="4" bestFit="1" customWidth="1"/>
    <col min="9" max="10" width="10.28515625" style="4" bestFit="1" customWidth="1"/>
    <col min="11" max="11" width="10.28515625" style="4" customWidth="1"/>
    <col min="12" max="21" width="10.28515625" style="4" bestFit="1" customWidth="1"/>
    <col min="22" max="16384" width="18.7109375" style="4"/>
  </cols>
  <sheetData>
    <row r="2" spans="1:21" ht="15.75" x14ac:dyDescent="0.25">
      <c r="A2" s="1" t="s">
        <v>0</v>
      </c>
      <c r="B2" s="2"/>
      <c r="C2" s="3"/>
      <c r="D2" s="2"/>
      <c r="E2" s="3"/>
      <c r="F2" s="3"/>
    </row>
    <row r="3" spans="1:21" x14ac:dyDescent="0.2">
      <c r="A3" s="2" t="s">
        <v>1</v>
      </c>
      <c r="B3" s="2"/>
      <c r="C3" s="3"/>
      <c r="D3" s="2"/>
      <c r="E3" s="3"/>
      <c r="F3" s="3"/>
    </row>
    <row r="4" spans="1:21" x14ac:dyDescent="0.2">
      <c r="A4" s="2"/>
      <c r="B4" s="2"/>
      <c r="C4" s="3"/>
      <c r="D4" s="2"/>
      <c r="E4" s="3"/>
      <c r="F4" s="3"/>
    </row>
    <row r="5" spans="1:21" x14ac:dyDescent="0.2">
      <c r="A5" s="2"/>
      <c r="B5" s="3" t="s">
        <v>2</v>
      </c>
      <c r="C5" s="3" t="s">
        <v>3</v>
      </c>
      <c r="D5" s="3"/>
      <c r="E5" s="3" t="s">
        <v>3</v>
      </c>
      <c r="F5" s="3" t="s">
        <v>4</v>
      </c>
      <c r="G5" s="45" t="s">
        <v>5</v>
      </c>
      <c r="H5" s="45"/>
      <c r="I5" s="45"/>
      <c r="J5" s="45"/>
      <c r="K5" s="5" t="s">
        <v>6</v>
      </c>
      <c r="L5" s="45" t="s">
        <v>7</v>
      </c>
      <c r="M5" s="45"/>
      <c r="N5" s="45"/>
      <c r="O5" s="45"/>
      <c r="P5" s="45"/>
      <c r="Q5" s="45"/>
      <c r="R5" s="45"/>
      <c r="S5" s="45"/>
      <c r="T5" s="45"/>
      <c r="U5" s="45"/>
    </row>
    <row r="6" spans="1:21" x14ac:dyDescent="0.2">
      <c r="B6" s="6" t="s">
        <v>8</v>
      </c>
      <c r="C6" s="7" t="s">
        <v>9</v>
      </c>
      <c r="D6" s="8" t="s">
        <v>10</v>
      </c>
      <c r="E6" s="7" t="s">
        <v>9</v>
      </c>
      <c r="F6" s="9" t="s">
        <v>11</v>
      </c>
      <c r="G6" s="2">
        <v>2019</v>
      </c>
      <c r="H6" s="2">
        <v>2020</v>
      </c>
      <c r="I6" s="2">
        <v>2021</v>
      </c>
      <c r="J6" s="2">
        <v>2022</v>
      </c>
      <c r="K6" s="2">
        <v>2023</v>
      </c>
      <c r="L6" s="2">
        <v>2024</v>
      </c>
      <c r="M6" s="2">
        <v>2025</v>
      </c>
      <c r="N6" s="2">
        <v>2026</v>
      </c>
      <c r="O6" s="2">
        <v>2027</v>
      </c>
      <c r="P6" s="2">
        <v>2028</v>
      </c>
      <c r="Q6" s="2">
        <v>2029</v>
      </c>
      <c r="R6" s="2">
        <v>2030</v>
      </c>
      <c r="S6" s="2">
        <v>2031</v>
      </c>
      <c r="T6" s="2">
        <v>2032</v>
      </c>
      <c r="U6" s="2">
        <v>2033</v>
      </c>
    </row>
    <row r="7" spans="1:21" x14ac:dyDescent="0.2">
      <c r="A7" s="10" t="s">
        <v>12</v>
      </c>
      <c r="B7" s="11">
        <v>35000</v>
      </c>
      <c r="C7" s="12">
        <v>10</v>
      </c>
      <c r="D7" s="13">
        <v>75000</v>
      </c>
      <c r="E7" s="14">
        <v>8</v>
      </c>
      <c r="F7" s="3" t="s">
        <v>13</v>
      </c>
      <c r="G7" s="15">
        <f>B7/C7</f>
        <v>3500</v>
      </c>
      <c r="H7" s="15">
        <f>G7*1.02^2</f>
        <v>3641.4</v>
      </c>
      <c r="I7" s="15">
        <f>$G7*1.02^3</f>
        <v>3714.2279999999996</v>
      </c>
      <c r="J7" s="15">
        <f>$G7*1.02^4</f>
        <v>3788.5125600000001</v>
      </c>
      <c r="K7" s="15">
        <f>(D7)/E7</f>
        <v>9375</v>
      </c>
      <c r="L7" s="15">
        <f>$K7*1.04^2</f>
        <v>10140.000000000002</v>
      </c>
      <c r="M7" s="15">
        <f>$K7*1.04^3</f>
        <v>10545.6</v>
      </c>
      <c r="N7" s="15">
        <f>$K7*1.04^4</f>
        <v>10967.424000000003</v>
      </c>
      <c r="O7" s="15">
        <f>$K7*1.04^5</f>
        <v>11406.120960000004</v>
      </c>
      <c r="P7" s="15">
        <f>$K7*1.04^6</f>
        <v>11862.365798400004</v>
      </c>
      <c r="Q7" s="15">
        <f>$K7*1.04^7</f>
        <v>12336.860430336003</v>
      </c>
      <c r="R7" s="15">
        <f>$K7*1.04^8</f>
        <v>12830.334847549444</v>
      </c>
      <c r="S7" s="15">
        <f>$K7*1.04^9</f>
        <v>13343.548241451424</v>
      </c>
      <c r="T7" s="15">
        <f>$K7*1.04^10</f>
        <v>13877.29017110948</v>
      </c>
      <c r="U7" s="15">
        <f>$K7*1.04^11</f>
        <v>14432.381777953859</v>
      </c>
    </row>
    <row r="8" spans="1:21" x14ac:dyDescent="0.2">
      <c r="A8" s="10" t="s">
        <v>14</v>
      </c>
      <c r="B8" s="11">
        <v>60000</v>
      </c>
      <c r="C8" s="12">
        <v>20</v>
      </c>
      <c r="D8" s="13">
        <v>40000</v>
      </c>
      <c r="E8" s="14">
        <v>20</v>
      </c>
      <c r="F8" s="3">
        <v>2</v>
      </c>
      <c r="G8" s="15">
        <f t="shared" ref="G8:G13" si="0">B8/C8</f>
        <v>3000</v>
      </c>
      <c r="H8" s="15">
        <f t="shared" ref="H8:H13" si="1">G8*1.02^2</f>
        <v>3121.2</v>
      </c>
      <c r="I8" s="15">
        <f t="shared" ref="I8:I13" si="2">$G8*1.02^3</f>
        <v>3183.6239999999998</v>
      </c>
      <c r="J8" s="15">
        <f t="shared" ref="J8:J13" si="3">$G8*1.02^4</f>
        <v>3247.29648</v>
      </c>
      <c r="K8" s="15">
        <f t="shared" ref="K8:K13" si="4">(D8)/E8</f>
        <v>2000</v>
      </c>
      <c r="L8" s="15">
        <f t="shared" ref="L8:L13" si="5">$K8*1.04^2</f>
        <v>2163.2000000000003</v>
      </c>
      <c r="M8" s="15">
        <f t="shared" ref="M8:M13" si="6">$K8*1.04^3</f>
        <v>2249.7280000000001</v>
      </c>
      <c r="N8" s="15">
        <f t="shared" ref="N8:N13" si="7">$K8*1.04^4</f>
        <v>2339.7171200000003</v>
      </c>
      <c r="O8" s="15">
        <f t="shared" ref="O8:O13" si="8">$K8*1.04^5</f>
        <v>2433.3058048000007</v>
      </c>
      <c r="P8" s="15">
        <f t="shared" ref="P8:P13" si="9">$K8*1.04^6</f>
        <v>2530.6380369920007</v>
      </c>
      <c r="Q8" s="15">
        <f t="shared" ref="Q8:Q13" si="10">$K8*1.04^7</f>
        <v>2631.8635584716803</v>
      </c>
      <c r="R8" s="15">
        <f t="shared" ref="R8:R13" si="11">$K8*1.04^8</f>
        <v>2737.1381008105482</v>
      </c>
      <c r="S8" s="15">
        <f t="shared" ref="S8:S13" si="12">$K8*1.04^9</f>
        <v>2846.6236248429705</v>
      </c>
      <c r="T8" s="15">
        <f t="shared" ref="T8:T13" si="13">$K8*1.04^10</f>
        <v>2960.4885698366893</v>
      </c>
      <c r="U8" s="15">
        <f t="shared" ref="U8:U13" si="14">$K8*1.04^11</f>
        <v>3078.9081126301567</v>
      </c>
    </row>
    <row r="9" spans="1:21" ht="14.25" x14ac:dyDescent="0.2">
      <c r="A9" s="16" t="s">
        <v>15</v>
      </c>
      <c r="B9" s="11">
        <v>12000</v>
      </c>
      <c r="C9" s="12">
        <v>30</v>
      </c>
      <c r="D9" s="17">
        <v>12000</v>
      </c>
      <c r="E9" s="14">
        <v>30</v>
      </c>
      <c r="F9" s="3" t="s">
        <v>16</v>
      </c>
      <c r="G9" s="15">
        <f t="shared" si="0"/>
        <v>400</v>
      </c>
      <c r="H9" s="15">
        <f t="shared" si="1"/>
        <v>416.15999999999997</v>
      </c>
      <c r="I9" s="15">
        <f t="shared" si="2"/>
        <v>424.48319999999995</v>
      </c>
      <c r="J9" s="15">
        <f t="shared" si="3"/>
        <v>432.97286400000002</v>
      </c>
      <c r="K9" s="15">
        <f t="shared" si="4"/>
        <v>400</v>
      </c>
      <c r="L9" s="15">
        <f t="shared" si="5"/>
        <v>432.64000000000004</v>
      </c>
      <c r="M9" s="15">
        <f t="shared" si="6"/>
        <v>449.94560000000001</v>
      </c>
      <c r="N9" s="15">
        <f t="shared" si="7"/>
        <v>467.94342400000011</v>
      </c>
      <c r="O9" s="15">
        <f t="shared" si="8"/>
        <v>486.66116096000013</v>
      </c>
      <c r="P9" s="15">
        <f t="shared" si="9"/>
        <v>506.12760739840013</v>
      </c>
      <c r="Q9" s="15">
        <f t="shared" si="10"/>
        <v>526.37271169433609</v>
      </c>
      <c r="R9" s="15">
        <f t="shared" si="11"/>
        <v>547.42762016210963</v>
      </c>
      <c r="S9" s="15">
        <f t="shared" si="12"/>
        <v>569.32472496859407</v>
      </c>
      <c r="T9" s="15">
        <f t="shared" si="13"/>
        <v>592.09771396733788</v>
      </c>
      <c r="U9" s="15">
        <f t="shared" si="14"/>
        <v>615.78162252603136</v>
      </c>
    </row>
    <row r="10" spans="1:21" ht="14.25" x14ac:dyDescent="0.2">
      <c r="A10" s="16" t="s">
        <v>17</v>
      </c>
      <c r="B10" s="11">
        <v>30000</v>
      </c>
      <c r="C10" s="12">
        <v>30</v>
      </c>
      <c r="D10" s="17">
        <v>30000</v>
      </c>
      <c r="E10" s="14">
        <v>30</v>
      </c>
      <c r="F10" s="3" t="s">
        <v>16</v>
      </c>
      <c r="G10" s="15">
        <f t="shared" si="0"/>
        <v>1000</v>
      </c>
      <c r="H10" s="15">
        <f t="shared" si="1"/>
        <v>1040.4000000000001</v>
      </c>
      <c r="I10" s="15">
        <f t="shared" si="2"/>
        <v>1061.2079999999999</v>
      </c>
      <c r="J10" s="15">
        <f t="shared" si="3"/>
        <v>1082.4321600000001</v>
      </c>
      <c r="K10" s="15">
        <f t="shared" si="4"/>
        <v>1000</v>
      </c>
      <c r="L10" s="15">
        <f t="shared" si="5"/>
        <v>1081.6000000000001</v>
      </c>
      <c r="M10" s="15">
        <f t="shared" si="6"/>
        <v>1124.864</v>
      </c>
      <c r="N10" s="15">
        <f t="shared" si="7"/>
        <v>1169.8585600000001</v>
      </c>
      <c r="O10" s="15">
        <f t="shared" si="8"/>
        <v>1216.6529024000004</v>
      </c>
      <c r="P10" s="15">
        <f t="shared" si="9"/>
        <v>1265.3190184960004</v>
      </c>
      <c r="Q10" s="15">
        <f t="shared" si="10"/>
        <v>1315.9317792358402</v>
      </c>
      <c r="R10" s="15">
        <f t="shared" si="11"/>
        <v>1368.5690504052741</v>
      </c>
      <c r="S10" s="15">
        <f t="shared" si="12"/>
        <v>1423.3118124214852</v>
      </c>
      <c r="T10" s="15">
        <f t="shared" si="13"/>
        <v>1480.2442849183446</v>
      </c>
      <c r="U10" s="15">
        <f t="shared" si="14"/>
        <v>1539.4540563150783</v>
      </c>
    </row>
    <row r="11" spans="1:21" x14ac:dyDescent="0.2">
      <c r="A11" s="10" t="s">
        <v>18</v>
      </c>
      <c r="B11" s="11">
        <v>17000</v>
      </c>
      <c r="C11" s="12">
        <v>30</v>
      </c>
      <c r="D11" s="17">
        <v>20000</v>
      </c>
      <c r="E11" s="14">
        <v>30</v>
      </c>
      <c r="F11" s="3" t="s">
        <v>16</v>
      </c>
      <c r="G11" s="15">
        <f t="shared" si="0"/>
        <v>566.66666666666663</v>
      </c>
      <c r="H11" s="15">
        <f t="shared" si="1"/>
        <v>589.55999999999995</v>
      </c>
      <c r="I11" s="15">
        <f t="shared" si="2"/>
        <v>601.35119999999995</v>
      </c>
      <c r="J11" s="15">
        <f t="shared" si="3"/>
        <v>613.37822399999993</v>
      </c>
      <c r="K11" s="15">
        <f t="shared" si="4"/>
        <v>666.66666666666663</v>
      </c>
      <c r="L11" s="15">
        <f t="shared" si="5"/>
        <v>721.06666666666672</v>
      </c>
      <c r="M11" s="15">
        <f t="shared" si="6"/>
        <v>749.90933333333339</v>
      </c>
      <c r="N11" s="15">
        <f t="shared" si="7"/>
        <v>779.90570666666679</v>
      </c>
      <c r="O11" s="15">
        <f t="shared" si="8"/>
        <v>811.1019349333335</v>
      </c>
      <c r="P11" s="15">
        <f t="shared" si="9"/>
        <v>843.54601233066683</v>
      </c>
      <c r="Q11" s="15">
        <f t="shared" si="10"/>
        <v>877.28785282389345</v>
      </c>
      <c r="R11" s="15">
        <f t="shared" si="11"/>
        <v>912.37936693684935</v>
      </c>
      <c r="S11" s="15">
        <f t="shared" si="12"/>
        <v>948.87454161432345</v>
      </c>
      <c r="T11" s="15">
        <f t="shared" si="13"/>
        <v>986.82952327889632</v>
      </c>
      <c r="U11" s="15">
        <f t="shared" si="14"/>
        <v>1026.3027042100521</v>
      </c>
    </row>
    <row r="12" spans="1:21" x14ac:dyDescent="0.2">
      <c r="A12" s="10" t="s">
        <v>19</v>
      </c>
      <c r="B12" s="11">
        <v>18000</v>
      </c>
      <c r="C12" s="12">
        <v>15</v>
      </c>
      <c r="D12" s="13">
        <v>12000</v>
      </c>
      <c r="E12" s="14">
        <v>15</v>
      </c>
      <c r="F12" s="3" t="s">
        <v>16</v>
      </c>
      <c r="G12" s="15">
        <f t="shared" si="0"/>
        <v>1200</v>
      </c>
      <c r="H12" s="15">
        <f t="shared" si="1"/>
        <v>1248.48</v>
      </c>
      <c r="I12" s="15">
        <f t="shared" si="2"/>
        <v>1273.4495999999999</v>
      </c>
      <c r="J12" s="15">
        <f t="shared" si="3"/>
        <v>1298.918592</v>
      </c>
      <c r="K12" s="15">
        <f t="shared" si="4"/>
        <v>800</v>
      </c>
      <c r="L12" s="15">
        <f t="shared" si="5"/>
        <v>865.28000000000009</v>
      </c>
      <c r="M12" s="15">
        <f t="shared" si="6"/>
        <v>899.89120000000003</v>
      </c>
      <c r="N12" s="15">
        <f t="shared" si="7"/>
        <v>935.88684800000021</v>
      </c>
      <c r="O12" s="15">
        <f t="shared" si="8"/>
        <v>973.32232192000026</v>
      </c>
      <c r="P12" s="15">
        <f t="shared" si="9"/>
        <v>1012.2552147968003</v>
      </c>
      <c r="Q12" s="15">
        <f t="shared" si="10"/>
        <v>1052.7454233886722</v>
      </c>
      <c r="R12" s="15">
        <f t="shared" si="11"/>
        <v>1094.8552403242193</v>
      </c>
      <c r="S12" s="15">
        <f t="shared" si="12"/>
        <v>1138.6494499371881</v>
      </c>
      <c r="T12" s="15">
        <f t="shared" si="13"/>
        <v>1184.1954279346758</v>
      </c>
      <c r="U12" s="15">
        <f t="shared" si="14"/>
        <v>1231.5632450520627</v>
      </c>
    </row>
    <row r="13" spans="1:21" x14ac:dyDescent="0.2">
      <c r="A13" s="10" t="s">
        <v>36</v>
      </c>
      <c r="B13" s="18">
        <v>10000</v>
      </c>
      <c r="C13" s="19">
        <v>10</v>
      </c>
      <c r="D13" s="20">
        <v>15000</v>
      </c>
      <c r="E13" s="21">
        <v>10</v>
      </c>
      <c r="F13" s="3" t="s">
        <v>16</v>
      </c>
      <c r="G13" s="15">
        <f t="shared" si="0"/>
        <v>1000</v>
      </c>
      <c r="H13" s="15">
        <f t="shared" si="1"/>
        <v>1040.4000000000001</v>
      </c>
      <c r="I13" s="15">
        <f t="shared" si="2"/>
        <v>1061.2079999999999</v>
      </c>
      <c r="J13" s="15">
        <f t="shared" si="3"/>
        <v>1082.4321600000001</v>
      </c>
      <c r="K13" s="15">
        <f t="shared" si="4"/>
        <v>1500</v>
      </c>
      <c r="L13" s="15">
        <f t="shared" si="5"/>
        <v>1622.4</v>
      </c>
      <c r="M13" s="15">
        <f t="shared" si="6"/>
        <v>1687.296</v>
      </c>
      <c r="N13" s="15">
        <f t="shared" si="7"/>
        <v>1754.7878400000004</v>
      </c>
      <c r="O13" s="15">
        <f t="shared" si="8"/>
        <v>1824.9793536000004</v>
      </c>
      <c r="P13" s="15">
        <f t="shared" si="9"/>
        <v>1897.9785277440005</v>
      </c>
      <c r="Q13" s="15">
        <f t="shared" si="10"/>
        <v>1973.8976688537605</v>
      </c>
      <c r="R13" s="15">
        <f t="shared" si="11"/>
        <v>2052.8535756079114</v>
      </c>
      <c r="S13" s="15">
        <f t="shared" si="12"/>
        <v>2134.9677186322278</v>
      </c>
      <c r="T13" s="15">
        <f t="shared" si="13"/>
        <v>2220.3664273775171</v>
      </c>
      <c r="U13" s="15">
        <f t="shared" si="14"/>
        <v>2309.1810844726174</v>
      </c>
    </row>
    <row r="14" spans="1:21" x14ac:dyDescent="0.2">
      <c r="A14" s="22"/>
      <c r="B14" s="23">
        <f>SUM(B7:B13)</f>
        <v>182000</v>
      </c>
      <c r="C14" s="24"/>
      <c r="D14" s="23"/>
      <c r="E14" s="24"/>
      <c r="F14" s="24"/>
      <c r="G14" s="44">
        <f>SUM(G7:G13)</f>
        <v>10666.666666666666</v>
      </c>
      <c r="H14" s="44">
        <f t="shared" ref="H14:U14" si="15">SUM(H7:H13)</f>
        <v>11097.599999999999</v>
      </c>
      <c r="I14" s="44">
        <f>SUM(I7:I13)</f>
        <v>11319.551999999998</v>
      </c>
      <c r="J14" s="44">
        <f t="shared" si="15"/>
        <v>11545.94304</v>
      </c>
      <c r="K14" s="44">
        <f t="shared" si="15"/>
        <v>15741.666666666666</v>
      </c>
      <c r="L14" s="25">
        <f t="shared" si="15"/>
        <v>17026.186666666672</v>
      </c>
      <c r="M14" s="25">
        <f t="shared" si="15"/>
        <v>17707.234133333332</v>
      </c>
      <c r="N14" s="25">
        <f t="shared" si="15"/>
        <v>18415.523498666673</v>
      </c>
      <c r="O14" s="25">
        <f t="shared" si="15"/>
        <v>19152.144438613337</v>
      </c>
      <c r="P14" s="25">
        <f t="shared" si="15"/>
        <v>19918.230216157877</v>
      </c>
      <c r="Q14" s="25">
        <f t="shared" si="15"/>
        <v>20714.959424804183</v>
      </c>
      <c r="R14" s="25">
        <f t="shared" si="15"/>
        <v>21543.557801796353</v>
      </c>
      <c r="S14" s="25">
        <f t="shared" si="15"/>
        <v>22405.300113868216</v>
      </c>
      <c r="T14" s="25">
        <f t="shared" si="15"/>
        <v>23301.512118422943</v>
      </c>
      <c r="U14" s="25">
        <f t="shared" si="15"/>
        <v>24233.572603159857</v>
      </c>
    </row>
    <row r="15" spans="1:21" x14ac:dyDescent="0.2">
      <c r="A15" s="10"/>
      <c r="B15" s="26"/>
      <c r="C15" s="3"/>
      <c r="D15" s="26"/>
      <c r="E15" s="3"/>
      <c r="F15" s="3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1:21" x14ac:dyDescent="0.2">
      <c r="A16" s="28"/>
      <c r="B16" s="29"/>
      <c r="C16" s="30"/>
      <c r="D16" s="29"/>
      <c r="E16" s="30"/>
      <c r="F16" s="30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2" x14ac:dyDescent="0.2">
      <c r="A17" s="10"/>
      <c r="B17" s="32"/>
      <c r="C17" s="3"/>
      <c r="D17" s="32"/>
      <c r="E17" s="3"/>
      <c r="F17" s="3"/>
    </row>
    <row r="18" spans="1:22" x14ac:dyDescent="0.2">
      <c r="A18" s="10"/>
      <c r="B18" s="32"/>
      <c r="C18" s="3"/>
      <c r="D18" s="32"/>
      <c r="E18" s="3"/>
      <c r="F18" s="3"/>
      <c r="G18" s="2">
        <v>2034</v>
      </c>
      <c r="H18" s="2">
        <v>2035</v>
      </c>
      <c r="I18" s="2">
        <v>2036</v>
      </c>
      <c r="J18" s="2">
        <v>2037</v>
      </c>
      <c r="K18" s="2">
        <v>2038</v>
      </c>
      <c r="L18" s="2">
        <v>2039</v>
      </c>
      <c r="M18" s="2">
        <v>2040</v>
      </c>
      <c r="N18" s="2">
        <v>2041</v>
      </c>
      <c r="O18" s="2">
        <v>2042</v>
      </c>
      <c r="P18" s="2">
        <v>2043</v>
      </c>
      <c r="Q18" s="2">
        <v>2044</v>
      </c>
      <c r="R18" s="2">
        <v>2045</v>
      </c>
      <c r="S18" s="2">
        <v>2046</v>
      </c>
      <c r="T18" s="2">
        <v>2047</v>
      </c>
      <c r="U18" s="2">
        <v>2048</v>
      </c>
    </row>
    <row r="19" spans="1:22" x14ac:dyDescent="0.2">
      <c r="A19" s="10"/>
      <c r="B19" s="26"/>
      <c r="C19" s="3"/>
      <c r="D19" s="26"/>
      <c r="E19" s="3"/>
      <c r="F19" s="3"/>
      <c r="G19" s="15">
        <f>$K7*1.04^12</f>
        <v>15009.677049072016</v>
      </c>
      <c r="H19" s="15">
        <f>$K7*1.04^13</f>
        <v>15610.064131034898</v>
      </c>
      <c r="I19" s="15">
        <f>$K7*1.04^14</f>
        <v>16234.466696276293</v>
      </c>
      <c r="J19" s="15">
        <f>$K7*1.04^15</f>
        <v>16883.845364127345</v>
      </c>
      <c r="K19" s="15">
        <f>$K7*1.04^16</f>
        <v>17559.199178692441</v>
      </c>
      <c r="L19" s="15">
        <f>$K7*1.04^17</f>
        <v>18261.567145840141</v>
      </c>
      <c r="M19" s="15">
        <f>$K7*1.04^18</f>
        <v>18992.029831673746</v>
      </c>
      <c r="N19" s="15">
        <f>$K7*1.04^19</f>
        <v>19751.711024940698</v>
      </c>
      <c r="O19" s="15">
        <f>$K7*1.04^20</f>
        <v>20541.779465938325</v>
      </c>
      <c r="P19" s="15">
        <f>$K7*1.04^21</f>
        <v>21363.450644575863</v>
      </c>
      <c r="Q19" s="15">
        <f>$K7*1.04^22</f>
        <v>22217.988670358896</v>
      </c>
      <c r="R19" s="15">
        <f>$K7*1.04^23</f>
        <v>23106.708217173251</v>
      </c>
      <c r="S19" s="15">
        <f>$K7*1.04^24</f>
        <v>24030.976545860183</v>
      </c>
      <c r="T19" s="15">
        <f>$K7*1.04^25</f>
        <v>24992.215607694594</v>
      </c>
      <c r="U19" s="15">
        <f>$K7*1.04^26</f>
        <v>25991.904232002376</v>
      </c>
      <c r="V19" s="15"/>
    </row>
    <row r="20" spans="1:22" x14ac:dyDescent="0.2">
      <c r="A20" s="10"/>
      <c r="B20" s="26"/>
      <c r="C20" s="3"/>
      <c r="D20" s="26"/>
      <c r="E20" s="3"/>
      <c r="F20" s="3"/>
      <c r="G20" s="15">
        <f t="shared" ref="G20:G25" si="16">$K8*1.04^12</f>
        <v>3202.0644371353633</v>
      </c>
      <c r="H20" s="15">
        <f t="shared" ref="H20:H25" si="17">$K8*1.04^13</f>
        <v>3330.147014620778</v>
      </c>
      <c r="I20" s="15">
        <f t="shared" ref="I20:I25" si="18">$K8*1.04^14</f>
        <v>3463.352895205609</v>
      </c>
      <c r="J20" s="15">
        <f t="shared" ref="J20:J25" si="19">$K8*1.04^15</f>
        <v>3601.8870110138337</v>
      </c>
      <c r="K20" s="15">
        <f t="shared" ref="K20:K25" si="20">$K8*1.04^16</f>
        <v>3745.9624914543874</v>
      </c>
      <c r="L20" s="15">
        <f t="shared" ref="L20:L25" si="21">$K8*1.04^17</f>
        <v>3895.8009911125632</v>
      </c>
      <c r="M20" s="15">
        <f t="shared" ref="M20:M25" si="22">$K8*1.04^18</f>
        <v>4051.6330307570661</v>
      </c>
      <c r="N20" s="15">
        <f t="shared" ref="N20:N25" si="23">$K8*1.04^19</f>
        <v>4213.6983519873484</v>
      </c>
      <c r="O20" s="15">
        <f t="shared" ref="O20:O25" si="24">$K8*1.04^20</f>
        <v>4382.2462860668429</v>
      </c>
      <c r="P20" s="15">
        <f t="shared" ref="P20:P25" si="25">$K8*1.04^21</f>
        <v>4557.5361375095172</v>
      </c>
      <c r="Q20" s="15">
        <f t="shared" ref="Q20:Q25" si="26">$K8*1.04^22</f>
        <v>4739.8375830098976</v>
      </c>
      <c r="R20" s="15">
        <f t="shared" ref="R20:R25" si="27">$K8*1.04^23</f>
        <v>4929.4310863302935</v>
      </c>
      <c r="S20" s="15">
        <f t="shared" ref="S20:S25" si="28">$K8*1.04^24</f>
        <v>5126.6083297835057</v>
      </c>
      <c r="T20" s="15">
        <f t="shared" ref="T20:T25" si="29">$K8*1.04^25</f>
        <v>5331.6726629748464</v>
      </c>
      <c r="U20" s="15">
        <f t="shared" ref="U20:U25" si="30">$K8*1.04^26</f>
        <v>5544.9395694938403</v>
      </c>
      <c r="V20" s="15"/>
    </row>
    <row r="21" spans="1:22" x14ac:dyDescent="0.2">
      <c r="A21" s="10"/>
      <c r="B21" s="26"/>
      <c r="C21" s="3"/>
      <c r="D21" s="26"/>
      <c r="E21" s="3"/>
      <c r="F21" s="3"/>
      <c r="G21" s="15">
        <f t="shared" si="16"/>
        <v>640.41288742707275</v>
      </c>
      <c r="H21" s="15">
        <f t="shared" si="17"/>
        <v>666.02940292415565</v>
      </c>
      <c r="I21" s="15">
        <f t="shared" si="18"/>
        <v>692.67057904112187</v>
      </c>
      <c r="J21" s="15">
        <f t="shared" si="19"/>
        <v>720.37740220276669</v>
      </c>
      <c r="K21" s="15">
        <f t="shared" si="20"/>
        <v>749.19249829087744</v>
      </c>
      <c r="L21" s="15">
        <f t="shared" si="21"/>
        <v>779.16019822251258</v>
      </c>
      <c r="M21" s="15">
        <f t="shared" si="22"/>
        <v>810.32660615141322</v>
      </c>
      <c r="N21" s="15">
        <f t="shared" si="23"/>
        <v>842.73967039746969</v>
      </c>
      <c r="O21" s="15">
        <f t="shared" si="24"/>
        <v>876.44925721336847</v>
      </c>
      <c r="P21" s="15">
        <f t="shared" si="25"/>
        <v>911.50722750190346</v>
      </c>
      <c r="Q21" s="15">
        <f t="shared" si="26"/>
        <v>947.96751660197958</v>
      </c>
      <c r="R21" s="15">
        <f t="shared" si="27"/>
        <v>985.88621726605868</v>
      </c>
      <c r="S21" s="15">
        <f t="shared" si="28"/>
        <v>1025.3216659567011</v>
      </c>
      <c r="T21" s="15">
        <f t="shared" si="29"/>
        <v>1066.3345325949695</v>
      </c>
      <c r="U21" s="15">
        <f t="shared" si="30"/>
        <v>1108.9879138987681</v>
      </c>
      <c r="V21" s="15"/>
    </row>
    <row r="22" spans="1:22" x14ac:dyDescent="0.2">
      <c r="A22" s="10"/>
      <c r="B22" s="26"/>
      <c r="C22" s="3"/>
      <c r="D22" s="26"/>
      <c r="E22" s="3"/>
      <c r="F22" s="3"/>
      <c r="G22" s="15">
        <f t="shared" si="16"/>
        <v>1601.0322185676816</v>
      </c>
      <c r="H22" s="15">
        <f t="shared" si="17"/>
        <v>1665.073507310389</v>
      </c>
      <c r="I22" s="15">
        <f t="shared" si="18"/>
        <v>1731.6764476028045</v>
      </c>
      <c r="J22" s="15">
        <f t="shared" si="19"/>
        <v>1800.9435055069168</v>
      </c>
      <c r="K22" s="15">
        <f t="shared" si="20"/>
        <v>1872.9812457271937</v>
      </c>
      <c r="L22" s="15">
        <f t="shared" si="21"/>
        <v>1947.9004955562816</v>
      </c>
      <c r="M22" s="15">
        <f t="shared" si="22"/>
        <v>2025.816515378533</v>
      </c>
      <c r="N22" s="15">
        <f t="shared" si="23"/>
        <v>2106.8491759936742</v>
      </c>
      <c r="O22" s="15">
        <f t="shared" si="24"/>
        <v>2191.1231430334215</v>
      </c>
      <c r="P22" s="15">
        <f t="shared" si="25"/>
        <v>2278.7680687547586</v>
      </c>
      <c r="Q22" s="15">
        <f t="shared" si="26"/>
        <v>2369.9187915049488</v>
      </c>
      <c r="R22" s="15">
        <f t="shared" si="27"/>
        <v>2464.7155431651468</v>
      </c>
      <c r="S22" s="15">
        <f t="shared" si="28"/>
        <v>2563.3041648917529</v>
      </c>
      <c r="T22" s="15">
        <f t="shared" si="29"/>
        <v>2665.8363314874232</v>
      </c>
      <c r="U22" s="15">
        <f t="shared" si="30"/>
        <v>2772.4697847469201</v>
      </c>
      <c r="V22" s="15"/>
    </row>
    <row r="23" spans="1:22" x14ac:dyDescent="0.2">
      <c r="A23" s="10"/>
      <c r="B23" s="26"/>
      <c r="C23" s="3"/>
      <c r="D23" s="26"/>
      <c r="E23" s="3"/>
      <c r="F23" s="3"/>
      <c r="G23" s="15">
        <f t="shared" si="16"/>
        <v>1067.3548123784544</v>
      </c>
      <c r="H23" s="15">
        <f t="shared" si="17"/>
        <v>1110.0490048735926</v>
      </c>
      <c r="I23" s="15">
        <f t="shared" si="18"/>
        <v>1154.4509650685363</v>
      </c>
      <c r="J23" s="15">
        <f t="shared" si="19"/>
        <v>1200.6290036712778</v>
      </c>
      <c r="K23" s="15">
        <f t="shared" si="20"/>
        <v>1248.6541638181291</v>
      </c>
      <c r="L23" s="15">
        <f t="shared" si="21"/>
        <v>1298.6003303708542</v>
      </c>
      <c r="M23" s="15">
        <f t="shared" si="22"/>
        <v>1350.5443435856887</v>
      </c>
      <c r="N23" s="15">
        <f t="shared" si="23"/>
        <v>1404.5661173291162</v>
      </c>
      <c r="O23" s="15">
        <f t="shared" si="24"/>
        <v>1460.7487620222807</v>
      </c>
      <c r="P23" s="15">
        <f t="shared" si="25"/>
        <v>1519.1787125031724</v>
      </c>
      <c r="Q23" s="15">
        <f t="shared" si="26"/>
        <v>1579.9458610032991</v>
      </c>
      <c r="R23" s="15">
        <f t="shared" si="27"/>
        <v>1643.1436954434309</v>
      </c>
      <c r="S23" s="15">
        <f t="shared" si="28"/>
        <v>1708.8694432611683</v>
      </c>
      <c r="T23" s="15">
        <f t="shared" si="29"/>
        <v>1777.2242209916155</v>
      </c>
      <c r="U23" s="15">
        <f t="shared" si="30"/>
        <v>1848.3131898312799</v>
      </c>
      <c r="V23" s="15"/>
    </row>
    <row r="24" spans="1:22" x14ac:dyDescent="0.2">
      <c r="A24" s="10"/>
      <c r="B24" s="26"/>
      <c r="C24" s="3"/>
      <c r="D24" s="26"/>
      <c r="E24" s="3"/>
      <c r="F24" s="3"/>
      <c r="G24" s="15">
        <f t="shared" si="16"/>
        <v>1280.8257748541455</v>
      </c>
      <c r="H24" s="15">
        <f t="shared" si="17"/>
        <v>1332.0588058483113</v>
      </c>
      <c r="I24" s="15">
        <f t="shared" si="18"/>
        <v>1385.3411580822437</v>
      </c>
      <c r="J24" s="15">
        <f t="shared" si="19"/>
        <v>1440.7548044055334</v>
      </c>
      <c r="K24" s="15">
        <f t="shared" si="20"/>
        <v>1498.3849965817549</v>
      </c>
      <c r="L24" s="15">
        <f t="shared" si="21"/>
        <v>1558.3203964450252</v>
      </c>
      <c r="M24" s="15">
        <f t="shared" si="22"/>
        <v>1620.6532123028264</v>
      </c>
      <c r="N24" s="15">
        <f t="shared" si="23"/>
        <v>1685.4793407949394</v>
      </c>
      <c r="O24" s="15">
        <f t="shared" si="24"/>
        <v>1752.8985144267369</v>
      </c>
      <c r="P24" s="15">
        <f t="shared" si="25"/>
        <v>1823.0144550038069</v>
      </c>
      <c r="Q24" s="15">
        <f t="shared" si="26"/>
        <v>1895.9350332039592</v>
      </c>
      <c r="R24" s="15">
        <f t="shared" si="27"/>
        <v>1971.7724345321174</v>
      </c>
      <c r="S24" s="15">
        <f t="shared" si="28"/>
        <v>2050.6433319134021</v>
      </c>
      <c r="T24" s="15">
        <f t="shared" si="29"/>
        <v>2132.6690651899389</v>
      </c>
      <c r="U24" s="15">
        <f t="shared" si="30"/>
        <v>2217.9758277975361</v>
      </c>
      <c r="V24" s="15"/>
    </row>
    <row r="25" spans="1:22" x14ac:dyDescent="0.2">
      <c r="A25" s="10"/>
      <c r="B25" s="26"/>
      <c r="C25" s="3"/>
      <c r="D25" s="26"/>
      <c r="E25" s="3"/>
      <c r="F25" s="3"/>
      <c r="G25" s="15">
        <f t="shared" si="16"/>
        <v>2401.5483278515226</v>
      </c>
      <c r="H25" s="15">
        <f t="shared" si="17"/>
        <v>2497.6102609655836</v>
      </c>
      <c r="I25" s="15">
        <f t="shared" si="18"/>
        <v>2597.5146714042071</v>
      </c>
      <c r="J25" s="15">
        <f t="shared" si="19"/>
        <v>2701.4152582603751</v>
      </c>
      <c r="K25" s="15">
        <f t="shared" si="20"/>
        <v>2809.4718685907906</v>
      </c>
      <c r="L25" s="15">
        <f t="shared" si="21"/>
        <v>2921.8507433344221</v>
      </c>
      <c r="M25" s="15">
        <f t="shared" si="22"/>
        <v>3038.7247730677996</v>
      </c>
      <c r="N25" s="15">
        <f t="shared" si="23"/>
        <v>3160.2737639905113</v>
      </c>
      <c r="O25" s="15">
        <f t="shared" si="24"/>
        <v>3286.684714550132</v>
      </c>
      <c r="P25" s="15">
        <f t="shared" si="25"/>
        <v>3418.1521031321381</v>
      </c>
      <c r="Q25" s="15">
        <f t="shared" si="26"/>
        <v>3554.8781872574232</v>
      </c>
      <c r="R25" s="15">
        <f t="shared" si="27"/>
        <v>3697.0733147477199</v>
      </c>
      <c r="S25" s="15">
        <f t="shared" si="28"/>
        <v>3844.9562473376291</v>
      </c>
      <c r="T25" s="15">
        <f t="shared" si="29"/>
        <v>3998.7544972311352</v>
      </c>
      <c r="U25" s="15">
        <f t="shared" si="30"/>
        <v>4158.7046771203795</v>
      </c>
      <c r="V25" s="15"/>
    </row>
    <row r="26" spans="1:22" x14ac:dyDescent="0.2">
      <c r="A26" s="33"/>
      <c r="B26" s="25"/>
      <c r="C26" s="24"/>
      <c r="D26" s="25"/>
      <c r="E26" s="24"/>
      <c r="F26" s="24"/>
      <c r="G26" s="25">
        <f>SUM(G19:G25)</f>
        <v>25202.915507286256</v>
      </c>
      <c r="H26" s="25">
        <f t="shared" ref="H26:U26" si="31">SUM(H19:H25)</f>
        <v>26211.03212757771</v>
      </c>
      <c r="I26" s="25">
        <f t="shared" si="31"/>
        <v>27259.473412680811</v>
      </c>
      <c r="J26" s="25">
        <f t="shared" si="31"/>
        <v>28349.852349188048</v>
      </c>
      <c r="K26" s="25">
        <f t="shared" si="31"/>
        <v>29483.846443155577</v>
      </c>
      <c r="L26" s="25">
        <f t="shared" si="31"/>
        <v>30663.200300881799</v>
      </c>
      <c r="M26" s="25">
        <f t="shared" si="31"/>
        <v>31889.728312917079</v>
      </c>
      <c r="N26" s="25">
        <f t="shared" si="31"/>
        <v>33165.317445433757</v>
      </c>
      <c r="O26" s="25">
        <f t="shared" si="31"/>
        <v>34491.930143251106</v>
      </c>
      <c r="P26" s="25">
        <f t="shared" si="31"/>
        <v>35871.607348981161</v>
      </c>
      <c r="Q26" s="25">
        <f t="shared" si="31"/>
        <v>37306.471642940407</v>
      </c>
      <c r="R26" s="25">
        <f t="shared" si="31"/>
        <v>38798.730508658024</v>
      </c>
      <c r="S26" s="25">
        <f t="shared" si="31"/>
        <v>40350.67972900434</v>
      </c>
      <c r="T26" s="25">
        <f t="shared" si="31"/>
        <v>41964.706918164527</v>
      </c>
      <c r="U26" s="25">
        <f t="shared" si="31"/>
        <v>43643.2951948911</v>
      </c>
    </row>
    <row r="28" spans="1:22" x14ac:dyDescent="0.2">
      <c r="A28" s="2" t="s">
        <v>20</v>
      </c>
    </row>
    <row r="29" spans="1:22" x14ac:dyDescent="0.2">
      <c r="A29" s="2"/>
    </row>
    <row r="30" spans="1:22" x14ac:dyDescent="0.2">
      <c r="A30" s="2" t="s">
        <v>21</v>
      </c>
    </row>
    <row r="31" spans="1:22" x14ac:dyDescent="0.2">
      <c r="A31" s="2" t="s">
        <v>22</v>
      </c>
    </row>
    <row r="32" spans="1:22" x14ac:dyDescent="0.2">
      <c r="A32" s="2" t="s">
        <v>23</v>
      </c>
    </row>
    <row r="33" spans="1:9" x14ac:dyDescent="0.2">
      <c r="A33" s="2" t="s">
        <v>24</v>
      </c>
    </row>
    <row r="35" spans="1:9" x14ac:dyDescent="0.2">
      <c r="A35" s="2"/>
    </row>
    <row r="36" spans="1:9" ht="15.75" x14ac:dyDescent="0.25">
      <c r="A36" s="1" t="s">
        <v>25</v>
      </c>
    </row>
    <row r="37" spans="1:9" x14ac:dyDescent="0.2">
      <c r="A37" s="2"/>
      <c r="G37" s="46" t="s">
        <v>26</v>
      </c>
      <c r="H37" s="46"/>
    </row>
    <row r="38" spans="1:9" x14ac:dyDescent="0.2">
      <c r="A38" s="2"/>
      <c r="C38" s="34" t="s">
        <v>27</v>
      </c>
      <c r="E38" s="34" t="s">
        <v>28</v>
      </c>
      <c r="G38" s="34" t="s">
        <v>29</v>
      </c>
      <c r="H38" s="34" t="s">
        <v>30</v>
      </c>
    </row>
    <row r="39" spans="1:9" x14ac:dyDescent="0.2">
      <c r="B39" s="34" t="s">
        <v>31</v>
      </c>
      <c r="C39" s="35" t="s">
        <v>32</v>
      </c>
      <c r="D39" s="34"/>
      <c r="E39" s="35" t="s">
        <v>32</v>
      </c>
      <c r="F39" s="35"/>
      <c r="G39" s="34"/>
      <c r="H39" s="34"/>
      <c r="I39" s="34"/>
    </row>
    <row r="40" spans="1:9" x14ac:dyDescent="0.2">
      <c r="B40" s="34">
        <f>2019</f>
        <v>2019</v>
      </c>
      <c r="C40" s="36">
        <f>$G$14*1.02</f>
        <v>10880</v>
      </c>
      <c r="D40" s="34"/>
      <c r="E40" s="36">
        <f>$G$14</f>
        <v>10666.666666666666</v>
      </c>
      <c r="F40" s="36"/>
      <c r="G40" s="36">
        <f>E40</f>
        <v>10666.666666666666</v>
      </c>
      <c r="H40" s="36">
        <f t="shared" ref="H40:H69" si="32">$E$70/$B$71</f>
        <v>25648.081225794482</v>
      </c>
      <c r="I40" s="36"/>
    </row>
    <row r="41" spans="1:9" x14ac:dyDescent="0.2">
      <c r="B41" s="34">
        <f t="shared" ref="B41:B69" si="33">B40+1</f>
        <v>2020</v>
      </c>
      <c r="C41" s="36">
        <f>$G$14*1.02^2</f>
        <v>11097.599999999999</v>
      </c>
      <c r="D41" s="34"/>
      <c r="E41" s="36">
        <f>$G$14*1.02^2</f>
        <v>11097.599999999999</v>
      </c>
      <c r="F41" s="36"/>
      <c r="G41" s="36">
        <f t="shared" ref="G41:G69" si="34">E41</f>
        <v>11097.599999999999</v>
      </c>
      <c r="H41" s="36">
        <f t="shared" si="32"/>
        <v>25648.081225794482</v>
      </c>
      <c r="I41" s="36"/>
    </row>
    <row r="42" spans="1:9" x14ac:dyDescent="0.2">
      <c r="B42" s="34">
        <f t="shared" si="33"/>
        <v>2021</v>
      </c>
      <c r="C42" s="36">
        <f>$G$14*1.02^3</f>
        <v>11319.551999999998</v>
      </c>
      <c r="D42" s="34"/>
      <c r="E42" s="36">
        <f>$G$14*1.02^3</f>
        <v>11319.551999999998</v>
      </c>
      <c r="F42" s="36"/>
      <c r="G42" s="36">
        <f t="shared" si="34"/>
        <v>11319.551999999998</v>
      </c>
      <c r="H42" s="36">
        <f t="shared" si="32"/>
        <v>25648.081225794482</v>
      </c>
      <c r="I42" s="36"/>
    </row>
    <row r="43" spans="1:9" x14ac:dyDescent="0.2">
      <c r="B43" s="34">
        <f t="shared" si="33"/>
        <v>2022</v>
      </c>
      <c r="C43" s="36">
        <f>$G$14*1.02^4</f>
        <v>11545.943039999998</v>
      </c>
      <c r="D43" s="34"/>
      <c r="E43" s="36">
        <f>$G$14*1.02^4</f>
        <v>11545.943039999998</v>
      </c>
      <c r="F43" s="36"/>
      <c r="G43" s="36">
        <f t="shared" si="34"/>
        <v>11545.943039999998</v>
      </c>
      <c r="H43" s="36">
        <f t="shared" si="32"/>
        <v>25648.081225794482</v>
      </c>
      <c r="I43" s="36"/>
    </row>
    <row r="44" spans="1:9" x14ac:dyDescent="0.2">
      <c r="B44" s="37">
        <f t="shared" si="33"/>
        <v>2023</v>
      </c>
      <c r="C44" s="38">
        <f>$G$14*1.02^5</f>
        <v>11776.861900799999</v>
      </c>
      <c r="D44" s="39"/>
      <c r="E44" s="38">
        <f>K14</f>
        <v>15741.666666666666</v>
      </c>
      <c r="F44" s="38"/>
      <c r="G44" s="38">
        <f t="shared" si="34"/>
        <v>15741.666666666666</v>
      </c>
      <c r="H44" s="40">
        <f t="shared" si="32"/>
        <v>25648.081225794482</v>
      </c>
      <c r="I44" s="36"/>
    </row>
    <row r="45" spans="1:9" x14ac:dyDescent="0.2">
      <c r="B45" s="34">
        <f t="shared" si="33"/>
        <v>2024</v>
      </c>
      <c r="C45" s="36">
        <f>$G$14*1.02^6</f>
        <v>12012.399138815999</v>
      </c>
      <c r="D45" s="34"/>
      <c r="E45" s="36">
        <f>$K$14*1.04^2</f>
        <v>17026.186666666668</v>
      </c>
      <c r="F45" s="36"/>
      <c r="G45" s="36">
        <f t="shared" si="34"/>
        <v>17026.186666666668</v>
      </c>
      <c r="H45" s="36">
        <f t="shared" si="32"/>
        <v>25648.081225794482</v>
      </c>
      <c r="I45" s="36"/>
    </row>
    <row r="46" spans="1:9" x14ac:dyDescent="0.2">
      <c r="B46" s="34">
        <f t="shared" si="33"/>
        <v>2025</v>
      </c>
      <c r="C46" s="36">
        <f>$G$14*1.02^7</f>
        <v>12252.647121592317</v>
      </c>
      <c r="D46" s="34"/>
      <c r="E46" s="36">
        <f>$K$14*1.04^3</f>
        <v>17707.234133333335</v>
      </c>
      <c r="F46" s="36"/>
      <c r="G46" s="36">
        <f t="shared" si="34"/>
        <v>17707.234133333335</v>
      </c>
      <c r="H46" s="36">
        <f t="shared" si="32"/>
        <v>25648.081225794482</v>
      </c>
      <c r="I46" s="36"/>
    </row>
    <row r="47" spans="1:9" x14ac:dyDescent="0.2">
      <c r="B47" s="34">
        <f t="shared" si="33"/>
        <v>2026</v>
      </c>
      <c r="C47" s="36">
        <f>$G$14*1.02^8</f>
        <v>12497.700064024164</v>
      </c>
      <c r="D47" s="34"/>
      <c r="E47" s="36">
        <f>$K$14*1.04^4</f>
        <v>18415.523498666669</v>
      </c>
      <c r="F47" s="36"/>
      <c r="G47" s="36">
        <f t="shared" si="34"/>
        <v>18415.523498666669</v>
      </c>
      <c r="H47" s="36">
        <f t="shared" si="32"/>
        <v>25648.081225794482</v>
      </c>
      <c r="I47" s="36"/>
    </row>
    <row r="48" spans="1:9" x14ac:dyDescent="0.2">
      <c r="B48" s="34">
        <f t="shared" si="33"/>
        <v>2027</v>
      </c>
      <c r="C48" s="36">
        <f>$G$14*1.02^9</f>
        <v>12747.654065304649</v>
      </c>
      <c r="D48" s="34"/>
      <c r="E48" s="36">
        <f>$K$14*1.04^5</f>
        <v>19152.144438613337</v>
      </c>
      <c r="F48" s="36"/>
      <c r="G48" s="36">
        <f t="shared" si="34"/>
        <v>19152.144438613337</v>
      </c>
      <c r="H48" s="36">
        <f t="shared" si="32"/>
        <v>25648.081225794482</v>
      </c>
      <c r="I48" s="36"/>
    </row>
    <row r="49" spans="2:9" x14ac:dyDescent="0.2">
      <c r="B49" s="34">
        <f t="shared" si="33"/>
        <v>2028</v>
      </c>
      <c r="C49" s="36">
        <f>$G$14*1.02^10</f>
        <v>13002.607146610742</v>
      </c>
      <c r="D49" s="34"/>
      <c r="E49" s="36">
        <f>$K$14*1.04^6</f>
        <v>19918.23021615787</v>
      </c>
      <c r="F49" s="36"/>
      <c r="G49" s="36">
        <f t="shared" si="34"/>
        <v>19918.23021615787</v>
      </c>
      <c r="H49" s="36">
        <f t="shared" si="32"/>
        <v>25648.081225794482</v>
      </c>
      <c r="I49" s="36"/>
    </row>
    <row r="50" spans="2:9" x14ac:dyDescent="0.2">
      <c r="B50" s="34">
        <f t="shared" si="33"/>
        <v>2029</v>
      </c>
      <c r="C50" s="36">
        <f>$G$14*1.02^11</f>
        <v>13262.659289542955</v>
      </c>
      <c r="D50" s="34"/>
      <c r="E50" s="36">
        <f>$K$14*1.04^7</f>
        <v>20714.959424804183</v>
      </c>
      <c r="F50" s="36"/>
      <c r="G50" s="36">
        <f t="shared" si="34"/>
        <v>20714.959424804183</v>
      </c>
      <c r="H50" s="36">
        <f t="shared" si="32"/>
        <v>25648.081225794482</v>
      </c>
      <c r="I50" s="36"/>
    </row>
    <row r="51" spans="2:9" x14ac:dyDescent="0.2">
      <c r="B51" s="34">
        <f t="shared" si="33"/>
        <v>2030</v>
      </c>
      <c r="C51" s="36">
        <f>$G$14*1.02^12</f>
        <v>13527.912475333815</v>
      </c>
      <c r="D51" s="34"/>
      <c r="E51" s="36">
        <f>$K$14*1.04^8</f>
        <v>21543.557801796356</v>
      </c>
      <c r="F51" s="36"/>
      <c r="G51" s="36">
        <f t="shared" si="34"/>
        <v>21543.557801796356</v>
      </c>
      <c r="H51" s="36">
        <f t="shared" si="32"/>
        <v>25648.081225794482</v>
      </c>
      <c r="I51" s="36"/>
    </row>
    <row r="52" spans="2:9" x14ac:dyDescent="0.2">
      <c r="B52" s="34">
        <f t="shared" si="33"/>
        <v>2031</v>
      </c>
      <c r="C52" s="36">
        <f>$G$14*1.02^13</f>
        <v>13798.47072484049</v>
      </c>
      <c r="D52" s="34"/>
      <c r="E52" s="36">
        <f>$K$14*1.04^9</f>
        <v>22405.300113868212</v>
      </c>
      <c r="F52" s="36"/>
      <c r="G52" s="36">
        <f t="shared" si="34"/>
        <v>22405.300113868212</v>
      </c>
      <c r="H52" s="36">
        <f t="shared" si="32"/>
        <v>25648.081225794482</v>
      </c>
      <c r="I52" s="36"/>
    </row>
    <row r="53" spans="2:9" x14ac:dyDescent="0.2">
      <c r="B53" s="34">
        <f t="shared" si="33"/>
        <v>2032</v>
      </c>
      <c r="C53" s="36">
        <f>$G$14*1.02^14</f>
        <v>14074.440139337303</v>
      </c>
      <c r="D53" s="34"/>
      <c r="E53" s="36">
        <f>$K$14*1.04^10</f>
        <v>23301.512118422939</v>
      </c>
      <c r="F53" s="36"/>
      <c r="G53" s="36">
        <f t="shared" si="34"/>
        <v>23301.512118422939</v>
      </c>
      <c r="H53" s="36">
        <f t="shared" si="32"/>
        <v>25648.081225794482</v>
      </c>
      <c r="I53" s="36"/>
    </row>
    <row r="54" spans="2:9" x14ac:dyDescent="0.2">
      <c r="B54" s="34">
        <f t="shared" si="33"/>
        <v>2033</v>
      </c>
      <c r="C54" s="36">
        <f>$G$14*1.02^15</f>
        <v>14355.928942124045</v>
      </c>
      <c r="D54" s="34"/>
      <c r="E54" s="36">
        <f>$K$14*1.04^11</f>
        <v>24233.572603159857</v>
      </c>
      <c r="F54" s="36"/>
      <c r="G54" s="36">
        <f t="shared" si="34"/>
        <v>24233.572603159857</v>
      </c>
      <c r="H54" s="36">
        <f t="shared" si="32"/>
        <v>25648.081225794482</v>
      </c>
      <c r="I54" s="36"/>
    </row>
    <row r="55" spans="2:9" x14ac:dyDescent="0.2">
      <c r="B55" s="34">
        <f t="shared" si="33"/>
        <v>2034</v>
      </c>
      <c r="C55" s="36">
        <f>$G$14*1.02^16</f>
        <v>14643.047520966527</v>
      </c>
      <c r="D55" s="34"/>
      <c r="E55" s="36">
        <f>$K$14*1.04^12</f>
        <v>25202.915507286256</v>
      </c>
      <c r="F55" s="36"/>
      <c r="G55" s="36">
        <f t="shared" si="34"/>
        <v>25202.915507286256</v>
      </c>
      <c r="H55" s="36">
        <f t="shared" si="32"/>
        <v>25648.081225794482</v>
      </c>
      <c r="I55" s="36"/>
    </row>
    <row r="56" spans="2:9" x14ac:dyDescent="0.2">
      <c r="B56" s="34">
        <f t="shared" si="33"/>
        <v>2035</v>
      </c>
      <c r="C56" s="36">
        <f>$G$14*1.02^17</f>
        <v>14935.908471385859</v>
      </c>
      <c r="D56" s="34"/>
      <c r="E56" s="36">
        <f>$K$14*1.04^13</f>
        <v>26211.032127577706</v>
      </c>
      <c r="F56" s="36"/>
      <c r="G56" s="36">
        <f t="shared" si="34"/>
        <v>26211.032127577706</v>
      </c>
      <c r="H56" s="36">
        <f t="shared" si="32"/>
        <v>25648.081225794482</v>
      </c>
      <c r="I56" s="36"/>
    </row>
    <row r="57" spans="2:9" x14ac:dyDescent="0.2">
      <c r="B57" s="34">
        <f t="shared" si="33"/>
        <v>2036</v>
      </c>
      <c r="C57" s="36">
        <f>$G$14*1.02^18</f>
        <v>15234.626640813574</v>
      </c>
      <c r="D57" s="34"/>
      <c r="E57" s="36">
        <f>$K$14*1.04^14</f>
        <v>27259.473412680814</v>
      </c>
      <c r="F57" s="36"/>
      <c r="G57" s="36">
        <f t="shared" si="34"/>
        <v>27259.473412680814</v>
      </c>
      <c r="H57" s="36">
        <f t="shared" si="32"/>
        <v>25648.081225794482</v>
      </c>
      <c r="I57" s="36"/>
    </row>
    <row r="58" spans="2:9" x14ac:dyDescent="0.2">
      <c r="B58" s="34">
        <f t="shared" si="33"/>
        <v>2037</v>
      </c>
      <c r="C58" s="36">
        <f>$G$14*1.02^19</f>
        <v>15539.319173629845</v>
      </c>
      <c r="D58" s="34"/>
      <c r="E58" s="36">
        <f>$K$14*1.04^15</f>
        <v>28349.852349188048</v>
      </c>
      <c r="F58" s="36"/>
      <c r="G58" s="36">
        <f t="shared" si="34"/>
        <v>28349.852349188048</v>
      </c>
      <c r="H58" s="36">
        <f t="shared" si="32"/>
        <v>25648.081225794482</v>
      </c>
      <c r="I58" s="36"/>
    </row>
    <row r="59" spans="2:9" x14ac:dyDescent="0.2">
      <c r="B59" s="34">
        <f t="shared" si="33"/>
        <v>2038</v>
      </c>
      <c r="C59" s="36">
        <f>$G$14*1.02^20</f>
        <v>15850.105557102444</v>
      </c>
      <c r="D59" s="34"/>
      <c r="E59" s="36">
        <f>$K$14*1.04^16</f>
        <v>29483.846443155573</v>
      </c>
      <c r="F59" s="36"/>
      <c r="G59" s="36">
        <f t="shared" si="34"/>
        <v>29483.846443155573</v>
      </c>
      <c r="H59" s="36">
        <f t="shared" si="32"/>
        <v>25648.081225794482</v>
      </c>
      <c r="I59" s="36"/>
    </row>
    <row r="60" spans="2:9" x14ac:dyDescent="0.2">
      <c r="B60" s="34">
        <f t="shared" si="33"/>
        <v>2039</v>
      </c>
      <c r="C60" s="36">
        <f>$G$14*1.02^21</f>
        <v>16167.107668244493</v>
      </c>
      <c r="D60" s="34"/>
      <c r="E60" s="36">
        <f>$K$14*1.04^17</f>
        <v>30663.200300881796</v>
      </c>
      <c r="F60" s="36"/>
      <c r="G60" s="36">
        <f t="shared" si="34"/>
        <v>30663.200300881796</v>
      </c>
      <c r="H60" s="36">
        <f t="shared" si="32"/>
        <v>25648.081225794482</v>
      </c>
      <c r="I60" s="36"/>
    </row>
    <row r="61" spans="2:9" x14ac:dyDescent="0.2">
      <c r="B61" s="34">
        <f t="shared" si="33"/>
        <v>2040</v>
      </c>
      <c r="C61" s="41">
        <f>$G$14*1.02^22</f>
        <v>16490.449821609382</v>
      </c>
      <c r="D61" s="34"/>
      <c r="E61" s="36">
        <f>$K$14*1.04^18</f>
        <v>31889.728312917072</v>
      </c>
      <c r="F61" s="41"/>
      <c r="G61" s="36">
        <f t="shared" si="34"/>
        <v>31889.728312917072</v>
      </c>
      <c r="H61" s="36">
        <f t="shared" si="32"/>
        <v>25648.081225794482</v>
      </c>
      <c r="I61" s="36"/>
    </row>
    <row r="62" spans="2:9" x14ac:dyDescent="0.2">
      <c r="B62" s="34">
        <f t="shared" si="33"/>
        <v>2041</v>
      </c>
      <c r="C62" s="36">
        <f>$G$14*1.02^23</f>
        <v>16820.258818041566</v>
      </c>
      <c r="D62" s="34"/>
      <c r="E62" s="36">
        <f>$K$14*1.04^19</f>
        <v>33165.317445433757</v>
      </c>
      <c r="F62" s="36"/>
      <c r="G62" s="36">
        <f t="shared" si="34"/>
        <v>33165.317445433757</v>
      </c>
      <c r="H62" s="36">
        <f t="shared" si="32"/>
        <v>25648.081225794482</v>
      </c>
      <c r="I62" s="36"/>
    </row>
    <row r="63" spans="2:9" x14ac:dyDescent="0.2">
      <c r="B63" s="34">
        <f t="shared" si="33"/>
        <v>2042</v>
      </c>
      <c r="C63" s="36">
        <f>$G$14*1.02^24</f>
        <v>17156.663994402399</v>
      </c>
      <c r="D63" s="34"/>
      <c r="E63" s="36">
        <f>$K$14*1.04^20</f>
        <v>34491.930143251106</v>
      </c>
      <c r="F63" s="36"/>
      <c r="G63" s="36">
        <f t="shared" si="34"/>
        <v>34491.930143251106</v>
      </c>
      <c r="H63" s="36">
        <f t="shared" si="32"/>
        <v>25648.081225794482</v>
      </c>
      <c r="I63" s="36"/>
    </row>
    <row r="64" spans="2:9" x14ac:dyDescent="0.2">
      <c r="B64" s="34">
        <f t="shared" si="33"/>
        <v>2043</v>
      </c>
      <c r="C64" s="36">
        <f>$G$14*1.02^25</f>
        <v>17499.797274290446</v>
      </c>
      <c r="D64" s="34"/>
      <c r="E64" s="36">
        <f>$K$14*1.04^21</f>
        <v>35871.607348981161</v>
      </c>
      <c r="F64" s="36"/>
      <c r="G64" s="36">
        <f t="shared" si="34"/>
        <v>35871.607348981161</v>
      </c>
      <c r="H64" s="36">
        <f t="shared" si="32"/>
        <v>25648.081225794482</v>
      </c>
      <c r="I64" s="36"/>
    </row>
    <row r="65" spans="1:10" x14ac:dyDescent="0.2">
      <c r="B65" s="34">
        <f t="shared" si="33"/>
        <v>2044</v>
      </c>
      <c r="C65" s="36">
        <f>$G$14*1.02^26</f>
        <v>17849.79321977626</v>
      </c>
      <c r="D65" s="34"/>
      <c r="E65" s="36">
        <f>$K$14*1.04^22</f>
        <v>37306.4716429404</v>
      </c>
      <c r="F65" s="36"/>
      <c r="G65" s="36">
        <f t="shared" si="34"/>
        <v>37306.4716429404</v>
      </c>
      <c r="H65" s="36">
        <f t="shared" si="32"/>
        <v>25648.081225794482</v>
      </c>
      <c r="I65" s="36"/>
    </row>
    <row r="66" spans="1:10" x14ac:dyDescent="0.2">
      <c r="B66" s="34">
        <f t="shared" si="33"/>
        <v>2045</v>
      </c>
      <c r="C66" s="36">
        <f>$G$14*1.02^27</f>
        <v>18206.789084171782</v>
      </c>
      <c r="D66" s="34"/>
      <c r="E66" s="36">
        <f>$K$14*1.04^23</f>
        <v>38798.730508658016</v>
      </c>
      <c r="F66" s="36"/>
      <c r="G66" s="36">
        <f t="shared" si="34"/>
        <v>38798.730508658016</v>
      </c>
      <c r="H66" s="36">
        <f t="shared" si="32"/>
        <v>25648.081225794482</v>
      </c>
      <c r="I66" s="36"/>
    </row>
    <row r="67" spans="1:10" x14ac:dyDescent="0.2">
      <c r="B67" s="34">
        <f t="shared" si="33"/>
        <v>2046</v>
      </c>
      <c r="C67" s="36">
        <f>$G$14*1.02^28</f>
        <v>18570.924865855221</v>
      </c>
      <c r="D67" s="34"/>
      <c r="E67" s="36">
        <f>$K$14*1.04^24</f>
        <v>40350.67972900434</v>
      </c>
      <c r="F67" s="36"/>
      <c r="G67" s="36">
        <f t="shared" si="34"/>
        <v>40350.67972900434</v>
      </c>
      <c r="H67" s="36">
        <f t="shared" si="32"/>
        <v>25648.081225794482</v>
      </c>
      <c r="I67" s="36"/>
    </row>
    <row r="68" spans="1:10" x14ac:dyDescent="0.2">
      <c r="B68" s="34">
        <f t="shared" si="33"/>
        <v>2047</v>
      </c>
      <c r="C68" s="36">
        <f>$G$14*1.02^29</f>
        <v>18942.34336317232</v>
      </c>
      <c r="D68" s="34"/>
      <c r="E68" s="36">
        <f>$K$14*1.04^25</f>
        <v>41964.70691816452</v>
      </c>
      <c r="F68" s="36"/>
      <c r="G68" s="36">
        <f t="shared" si="34"/>
        <v>41964.70691816452</v>
      </c>
      <c r="H68" s="36">
        <f t="shared" si="32"/>
        <v>25648.081225794482</v>
      </c>
      <c r="I68" s="36"/>
    </row>
    <row r="69" spans="1:10" x14ac:dyDescent="0.2">
      <c r="B69" s="34">
        <f t="shared" si="33"/>
        <v>2048</v>
      </c>
      <c r="C69" s="42">
        <f>$G$14*1.02^30</f>
        <v>19321.190230435768</v>
      </c>
      <c r="D69" s="34"/>
      <c r="E69" s="42">
        <f>$K$14*1.04^26</f>
        <v>43643.2951948911</v>
      </c>
      <c r="F69" s="36"/>
      <c r="G69" s="42">
        <f t="shared" si="34"/>
        <v>43643.2951948911</v>
      </c>
      <c r="H69" s="42">
        <f t="shared" si="32"/>
        <v>25648.081225794482</v>
      </c>
      <c r="I69" s="36"/>
    </row>
    <row r="70" spans="1:10" x14ac:dyDescent="0.2">
      <c r="C70" s="36">
        <f>SUM(C40:C69)</f>
        <v>441380.7017522243</v>
      </c>
      <c r="E70" s="36">
        <f>SUM(E40:E69)</f>
        <v>769442.4367738344</v>
      </c>
      <c r="F70" s="36"/>
      <c r="G70" s="36">
        <f>SUM(G40:G69)</f>
        <v>769442.4367738344</v>
      </c>
      <c r="H70" s="36">
        <f>SUM(H40:H69)</f>
        <v>769442.43677383487</v>
      </c>
      <c r="I70" s="34"/>
      <c r="J70" s="36"/>
    </row>
    <row r="71" spans="1:10" x14ac:dyDescent="0.2">
      <c r="A71" s="34" t="s">
        <v>33</v>
      </c>
      <c r="B71" s="34">
        <v>30</v>
      </c>
      <c r="C71" s="43"/>
      <c r="D71" s="34"/>
      <c r="E71" s="43"/>
      <c r="F71" s="43"/>
    </row>
    <row r="73" spans="1:10" x14ac:dyDescent="0.2">
      <c r="A73" s="4" t="s">
        <v>34</v>
      </c>
    </row>
    <row r="74" spans="1:10" x14ac:dyDescent="0.2">
      <c r="A74" s="4" t="s">
        <v>35</v>
      </c>
    </row>
  </sheetData>
  <sheetProtection algorithmName="SHA-512" hashValue="lTVmVLfU/iWHwghmCMxJBreQiCoE0RF9tM2A323l5oEXn8TVrBeudIDvwQ7lttxlNbeRnrzgARgpSu9KTsgA0A==" saltValue="H6ywJs+wP4twE3iYimib9w==" spinCount="100000" sheet="1" objects="1" scenarios="1"/>
  <mergeCells count="3">
    <mergeCell ref="G5:J5"/>
    <mergeCell ref="L5:U5"/>
    <mergeCell ref="G37:H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nienke snelting</dc:creator>
  <cp:lastModifiedBy>Ineke H</cp:lastModifiedBy>
  <dcterms:created xsi:type="dcterms:W3CDTF">2024-03-07T12:31:11Z</dcterms:created>
  <dcterms:modified xsi:type="dcterms:W3CDTF">2024-06-04T20:44:12Z</dcterms:modified>
</cp:coreProperties>
</file>